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9"/>
  </bookViews>
  <sheets>
    <sheet name="汇总" sheetId="4" r:id="rId1"/>
    <sheet name="洒水车费用" sheetId="1" r:id="rId2"/>
    <sheet name="扫地车费用" sheetId="7" state="hidden" r:id="rId3"/>
    <sheet name="清理地磅设备费用" sheetId="3" r:id="rId4"/>
    <sheet name="管理人员人工及辅助" sheetId="5" r:id="rId5"/>
    <sheet name="昌江雨天占比" sheetId="2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赵恒仕</author>
  </authors>
  <commentList>
    <comment ref="B20" authorId="0">
      <text>
        <r>
          <rPr>
            <b/>
            <sz val="9"/>
            <rFont val="宋体"/>
            <charset val="134"/>
          </rPr>
          <t>赵恒仕:</t>
        </r>
        <r>
          <rPr>
            <sz val="9"/>
            <rFont val="宋体"/>
            <charset val="134"/>
          </rPr>
          <t xml:space="preserve">
车辆需要慢跑冲洗路面油耗高于正常行驶</t>
        </r>
      </text>
    </comment>
    <comment ref="C20" authorId="0">
      <text>
        <r>
          <rPr>
            <b/>
            <sz val="9"/>
            <rFont val="宋体"/>
            <charset val="134"/>
          </rPr>
          <t>赵恒仕:</t>
        </r>
        <r>
          <rPr>
            <sz val="9"/>
            <rFont val="宋体"/>
            <charset val="134"/>
          </rPr>
          <t xml:space="preserve">
路线长5公里来回总长10公里每天跑7趟共70公里</t>
        </r>
      </text>
    </comment>
    <comment ref="C22" authorId="0">
      <text>
        <r>
          <rPr>
            <b/>
            <sz val="9"/>
            <rFont val="宋体"/>
            <charset val="134"/>
          </rPr>
          <t>赵恒仕:</t>
        </r>
        <r>
          <rPr>
            <sz val="9"/>
            <rFont val="宋体"/>
            <charset val="134"/>
          </rPr>
          <t xml:space="preserve">
地磅到叉霸路口</t>
        </r>
      </text>
    </comment>
  </commentList>
</comments>
</file>

<file path=xl/sharedStrings.xml><?xml version="1.0" encoding="utf-8"?>
<sst xmlns="http://schemas.openxmlformats.org/spreadsheetml/2006/main" count="244" uniqueCount="163">
  <si>
    <t>2025年度费用报价明细表</t>
  </si>
  <si>
    <t>序号</t>
  </si>
  <si>
    <t>费用组成</t>
  </si>
  <si>
    <t>金额</t>
  </si>
  <si>
    <t>费率</t>
  </si>
  <si>
    <t>备注</t>
  </si>
  <si>
    <t>洒水车降尘费用明细</t>
  </si>
  <si>
    <t>清理地磅、洗车台、沉淀池等费用明细</t>
  </si>
  <si>
    <t>管理及辅助车辆费用</t>
  </si>
  <si>
    <t>应急抢险及交通协管费用</t>
  </si>
  <si>
    <t>不含税合计</t>
  </si>
  <si>
    <t>增值税</t>
  </si>
  <si>
    <t>税金及附加</t>
  </si>
  <si>
    <t>合计</t>
  </si>
  <si>
    <t>报价说明</t>
  </si>
  <si>
    <r>
      <rPr>
        <sz val="14"/>
        <rFont val="宋体"/>
        <charset val="134"/>
      </rPr>
      <t>1、本次较2024年相比减少土路的维修及水沟的维护使用的机械费用，但增加的地磅和洗车台的清淤。
2、洒水降尘的费用较2024年高是取消了扫地车，采用水车代替。水车作业时间也延长7点至8点共14.5小时（</t>
    </r>
    <r>
      <rPr>
        <sz val="14"/>
        <color rgb="FFFF0000"/>
        <rFont val="宋体"/>
        <charset val="134"/>
      </rPr>
      <t>2024年预算工作8小时</t>
    </r>
    <r>
      <rPr>
        <sz val="14"/>
        <rFont val="宋体"/>
        <charset val="134"/>
      </rPr>
      <t>），另要求玉地村路口至叉霸路口需要人工水枪清洗，各路段要求水车冲洗</t>
    </r>
    <r>
      <rPr>
        <sz val="14"/>
        <color rgb="FFFF0000"/>
        <rFont val="宋体"/>
        <charset val="134"/>
      </rPr>
      <t>（冲洗需要车辆低速加油来提高冲洗压力，造成车辆油耗比正常洒水高）</t>
    </r>
  </si>
  <si>
    <t>洒水车费用明细</t>
  </si>
  <si>
    <t>型号</t>
  </si>
  <si>
    <t>柴油</t>
  </si>
  <si>
    <t>轮胎</t>
  </si>
  <si>
    <t>保险</t>
  </si>
  <si>
    <t>保养及维修</t>
  </si>
  <si>
    <t>年审</t>
  </si>
  <si>
    <t>工资（6人）</t>
  </si>
  <si>
    <t>水费</t>
  </si>
  <si>
    <t>折旧（元/年）</t>
  </si>
  <si>
    <t>洒水车</t>
  </si>
  <si>
    <r>
      <rPr>
        <sz val="10.5"/>
        <rFont val="Arial"/>
        <charset val="134"/>
      </rPr>
      <t>10</t>
    </r>
    <r>
      <rPr>
        <sz val="10.5"/>
        <rFont val="宋体"/>
        <charset val="134"/>
      </rPr>
      <t>吨</t>
    </r>
  </si>
  <si>
    <t>洒水车新</t>
  </si>
  <si>
    <r>
      <rPr>
        <sz val="10.5"/>
        <rFont val="Arial"/>
        <charset val="134"/>
      </rPr>
      <t>15</t>
    </r>
    <r>
      <rPr>
        <sz val="10.5"/>
        <rFont val="宋体"/>
        <charset val="134"/>
      </rPr>
      <t>吨</t>
    </r>
  </si>
  <si>
    <t>甲方负责</t>
  </si>
  <si>
    <t>如车辆不能正常通过年审需要甲方负担车辆维修费用</t>
  </si>
  <si>
    <t>洒水车旧</t>
  </si>
  <si>
    <t>15吨</t>
  </si>
  <si>
    <t>小计</t>
  </si>
  <si>
    <t>（1）正常工作天数</t>
  </si>
  <si>
    <t>一年计数</t>
  </si>
  <si>
    <t>假期</t>
  </si>
  <si>
    <t>一年中雨天占比</t>
  </si>
  <si>
    <t>实际工作天数</t>
  </si>
  <si>
    <t>材料</t>
  </si>
  <si>
    <t>（2）柴油</t>
  </si>
  <si>
    <t>柴油单价（元/km）</t>
  </si>
  <si>
    <t>路线长度（KM）</t>
  </si>
  <si>
    <t>每天往返次数</t>
  </si>
  <si>
    <t>日柴油耗量（元/天）</t>
  </si>
  <si>
    <t>年柴油耗量（元/年）</t>
  </si>
  <si>
    <t>10吨</t>
  </si>
  <si>
    <t>15吨新</t>
  </si>
  <si>
    <t>15吨旧</t>
  </si>
  <si>
    <t>取水次数（天）</t>
  </si>
  <si>
    <t>取水柴油耗量（元/天）</t>
  </si>
  <si>
    <t>每天往返距离（公里）</t>
  </si>
  <si>
    <t>满载可洒水距离（公里）</t>
  </si>
  <si>
    <t>工作取水次数（天）</t>
  </si>
  <si>
    <t>工作取水次数（年）</t>
  </si>
  <si>
    <t>备注：一年除去假日、雨天，工作232天</t>
  </si>
  <si>
    <t>柴油单价（元/升）</t>
  </si>
  <si>
    <t>一公里耗油量（升）</t>
  </si>
  <si>
    <t>洒水车轮胎</t>
  </si>
  <si>
    <t>数量</t>
  </si>
  <si>
    <t>轮胎价格</t>
  </si>
  <si>
    <t>人工</t>
  </si>
  <si>
    <t>工资</t>
  </si>
  <si>
    <t>人数</t>
  </si>
  <si>
    <t>金额（元/月）</t>
  </si>
  <si>
    <t>合计（元/年）</t>
  </si>
  <si>
    <t>费用</t>
  </si>
  <si>
    <t>折旧</t>
  </si>
  <si>
    <t>总价（元）</t>
  </si>
  <si>
    <t>耐用年限</t>
  </si>
  <si>
    <t>备注：15吨洒水车不需要算折旧</t>
  </si>
  <si>
    <t>10吨洒水车</t>
  </si>
  <si>
    <t>备注：一年工作天数为307天</t>
  </si>
  <si>
    <t>保养维修</t>
  </si>
  <si>
    <t>工资（2人）</t>
  </si>
  <si>
    <t>扫路车</t>
  </si>
  <si>
    <t>直接材料</t>
  </si>
  <si>
    <t>1.柴油</t>
  </si>
  <si>
    <t>百公里油耗量（升）</t>
  </si>
  <si>
    <t>一公里油耗量（升/KM）</t>
  </si>
  <si>
    <t>清扫线路长度（km）</t>
  </si>
  <si>
    <t>每天油耗量金额（元）</t>
  </si>
  <si>
    <t>油耗量（元/年）</t>
  </si>
  <si>
    <t>清扫距离</t>
  </si>
  <si>
    <t>线路二距离（KM）</t>
  </si>
  <si>
    <t>距离（KM）</t>
  </si>
  <si>
    <t>2.配件</t>
  </si>
  <si>
    <t>需要换轮胎个数</t>
  </si>
  <si>
    <t>轮胎价格(元/个）</t>
  </si>
  <si>
    <t>按一年换4个轮胎计</t>
  </si>
  <si>
    <t>考虑各种配件和维修</t>
  </si>
  <si>
    <t>保养、维修（元/年）</t>
  </si>
  <si>
    <t>保养（元/年）</t>
  </si>
  <si>
    <t>维修（元/年）</t>
  </si>
  <si>
    <t>直接人工</t>
  </si>
  <si>
    <t>考虑轮换和轮休问题，最少需招聘2名司机</t>
  </si>
  <si>
    <t>耐用年限为30年</t>
  </si>
  <si>
    <t>1.保险和年审为固定费用，按洒水车相同费用估算</t>
  </si>
  <si>
    <t>2.扫路车主要用于清扫线路二（3.5KM）</t>
  </si>
  <si>
    <t>3.折旧：扫地车价格为25万，车辆每年折旧费用=车辆总价/10年=250000/10=25000</t>
  </si>
  <si>
    <t>挖掘机清沉淀池费用明细</t>
  </si>
  <si>
    <t>车辆</t>
  </si>
  <si>
    <t>进出场费用（次）</t>
  </si>
  <si>
    <t>每小时费用（含司机）</t>
  </si>
  <si>
    <t>挖机费用</t>
  </si>
  <si>
    <t>人工费</t>
  </si>
  <si>
    <t>挖掘机</t>
  </si>
  <si>
    <t>小 计</t>
  </si>
  <si>
    <t>合 计</t>
  </si>
  <si>
    <t>工作时长</t>
  </si>
  <si>
    <t>油费</t>
  </si>
  <si>
    <t>每次清理需运输车次</t>
  </si>
  <si>
    <t>运输费（车）</t>
  </si>
  <si>
    <t>年运输车费用</t>
  </si>
  <si>
    <t>沉淀池淤泥清运</t>
  </si>
  <si>
    <t>沉淀池月清理次数</t>
  </si>
  <si>
    <t>年清理次</t>
  </si>
  <si>
    <t>清理地磅、洗车台、摄像头、玉地村挡板、广告牌、配合沉淀池清理等</t>
  </si>
  <si>
    <t>工人</t>
  </si>
  <si>
    <t>包月清理</t>
  </si>
  <si>
    <t>每月工资</t>
  </si>
  <si>
    <t>年</t>
  </si>
  <si>
    <t>新地磅</t>
  </si>
  <si>
    <t>备注：上述费用不含税，合计费用为一年（12个月）。</t>
  </si>
  <si>
    <t>说 明：</t>
  </si>
  <si>
    <t>一、清理沉淀池平均每月清理2次</t>
  </si>
  <si>
    <t>管理人员及辅助车辆费用明细</t>
  </si>
  <si>
    <t>名称</t>
  </si>
  <si>
    <t>月工资</t>
  </si>
  <si>
    <t>年工资</t>
  </si>
  <si>
    <t>现场管理负责人</t>
  </si>
  <si>
    <t>长期现场办公</t>
  </si>
  <si>
    <t>管理维修工</t>
  </si>
  <si>
    <t>持有电工证</t>
  </si>
  <si>
    <t>辅助车辆</t>
  </si>
  <si>
    <t>发电机及热熔机</t>
  </si>
  <si>
    <t>维修喷淋设备（含汽油）</t>
  </si>
  <si>
    <t>汇总表</t>
  </si>
  <si>
    <t>发电机热熔机</t>
  </si>
  <si>
    <t>辅助车辆及人工</t>
  </si>
  <si>
    <t>皮卡车</t>
  </si>
  <si>
    <t>价格（元）</t>
  </si>
  <si>
    <t>92油价（元/升）</t>
  </si>
  <si>
    <t>往返距离（KM）</t>
  </si>
  <si>
    <t>一公里油耗量（km/升）</t>
  </si>
  <si>
    <t>往返油耗量（升）</t>
  </si>
  <si>
    <t>往返耗油金额（元）</t>
  </si>
  <si>
    <t>往返油耗量（元/年）</t>
  </si>
  <si>
    <t>保险（元/年）</t>
  </si>
  <si>
    <t>年审（元/年）</t>
  </si>
  <si>
    <t>价格（元/个）</t>
  </si>
  <si>
    <t>总价（元/年）</t>
  </si>
  <si>
    <t>昌江雨季分析</t>
  </si>
  <si>
    <t>年份</t>
  </si>
  <si>
    <t>阴</t>
  </si>
  <si>
    <t>晴</t>
  </si>
  <si>
    <t>雨</t>
  </si>
  <si>
    <t>多云</t>
  </si>
  <si>
    <t>雨天占比</t>
  </si>
  <si>
    <t>比例</t>
  </si>
  <si>
    <t>洒水车实际工作天数</t>
  </si>
  <si>
    <t>备注：345天为正常需要上班天数（扣除假期20天）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</si>
</sst>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);[Red]\(#,##0.00\)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0.5"/>
      <name val="Arial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6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9" fontId="2" fillId="0" borderId="3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11" fillId="0" borderId="9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11" fillId="0" borderId="11" xfId="0" applyNumberFormat="1" applyFont="1" applyFill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0" fontId="3" fillId="2" borderId="3" xfId="3" applyNumberFormat="1" applyFont="1" applyFill="1" applyBorder="1" applyAlignment="1" applyProtection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top" wrapText="1"/>
    </xf>
    <xf numFmtId="178" fontId="5" fillId="2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88">
    <open main="106" threadCnt="1"/>
    <sheetInfos>
      <sheetInfo cellCmpFml="7" sheetStid="4">
        <open main="1" threadCnt="1"/>
      </sheetInfo>
      <sheetInfo cellCmpFml="38" sheetStid="1">
        <open main="24" threadCnt="1"/>
      </sheetInfo>
      <sheetInfo cellCmpFml="19" sheetStid="7">
        <open main="1" threadCnt="1"/>
      </sheetInfo>
      <sheetInfo cellCmpFml="8" sheetStid="3">
        <open main="1" threadCnt="1"/>
      </sheetInfo>
      <sheetInfo cellCmpFml="11" sheetStid="5">
        <open main="1" threadCnt="1"/>
      </sheetInfo>
      <sheetInfo cellCmpFml="5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woinfos" Target="woinfos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617220</xdr:colOff>
      <xdr:row>0</xdr:row>
      <xdr:rowOff>9525</xdr:rowOff>
    </xdr:from>
    <xdr:to>
      <xdr:col>15</xdr:col>
      <xdr:colOff>266700</xdr:colOff>
      <xdr:row>8</xdr:row>
      <xdr:rowOff>391160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4950" y="9525"/>
          <a:ext cx="2392680" cy="1991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65405</xdr:colOff>
      <xdr:row>12</xdr:row>
      <xdr:rowOff>132080</xdr:rowOff>
    </xdr:from>
    <xdr:to>
      <xdr:col>15</xdr:col>
      <xdr:colOff>333375</xdr:colOff>
      <xdr:row>24</xdr:row>
      <xdr:rowOff>109220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58935" y="2726055"/>
          <a:ext cx="2325370" cy="2034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513715</xdr:colOff>
      <xdr:row>0</xdr:row>
      <xdr:rowOff>45085</xdr:rowOff>
    </xdr:from>
    <xdr:to>
      <xdr:col>18</xdr:col>
      <xdr:colOff>552450</xdr:colOff>
      <xdr:row>8</xdr:row>
      <xdr:rowOff>466725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764645" y="45085"/>
          <a:ext cx="2096135" cy="2031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B1" sqref="B1:E1"/>
    </sheetView>
  </sheetViews>
  <sheetFormatPr defaultColWidth="8.89166666666667" defaultRowHeight="13.5" outlineLevelCol="4"/>
  <cols>
    <col min="1" max="1" width="8.89166666666667" style="13"/>
    <col min="2" max="2" width="29.3333333333333" style="13" customWidth="1"/>
    <col min="3" max="3" width="16.4416666666667" style="13" customWidth="1"/>
    <col min="4" max="4" width="10.3833333333333" style="13" customWidth="1"/>
    <col min="5" max="5" width="19.8833333333333" style="13" customWidth="1"/>
    <col min="6" max="6" width="13" style="13" customWidth="1"/>
    <col min="7" max="7" width="12.6333333333333" style="13"/>
    <col min="8" max="8" width="8.89166666666667" style="13"/>
    <col min="9" max="9" width="11.5" style="13"/>
    <col min="10" max="16384" width="8.89166666666667" style="13"/>
  </cols>
  <sheetData>
    <row r="1" s="13" customFormat="1" ht="20.25" spans="2:5">
      <c r="B1" s="15" t="s">
        <v>0</v>
      </c>
      <c r="C1" s="15"/>
      <c r="D1" s="15"/>
      <c r="E1" s="15"/>
    </row>
    <row r="2" s="13" customFormat="1" ht="20.25" spans="1:5">
      <c r="A2" s="76" t="s">
        <v>1</v>
      </c>
      <c r="B2" s="22" t="s">
        <v>2</v>
      </c>
      <c r="C2" s="22" t="s">
        <v>3</v>
      </c>
      <c r="D2" s="77" t="s">
        <v>4</v>
      </c>
      <c r="E2" s="77" t="s">
        <v>5</v>
      </c>
    </row>
    <row r="3" s="13" customFormat="1" ht="20.25" spans="1:5">
      <c r="A3" s="18">
        <v>1</v>
      </c>
      <c r="B3" s="18" t="s">
        <v>6</v>
      </c>
      <c r="C3" s="18"/>
      <c r="D3" s="77"/>
      <c r="E3" s="77"/>
    </row>
    <row r="4" s="13" customFormat="1" ht="28.5" spans="1:5">
      <c r="A4" s="18">
        <v>2</v>
      </c>
      <c r="B4" s="78" t="s">
        <v>7</v>
      </c>
      <c r="C4" s="18"/>
      <c r="D4" s="77"/>
      <c r="E4" s="77"/>
    </row>
    <row r="5" s="13" customFormat="1" ht="20.25" spans="1:5">
      <c r="A5" s="18">
        <v>4</v>
      </c>
      <c r="B5" s="18" t="s">
        <v>8</v>
      </c>
      <c r="C5" s="20"/>
      <c r="D5" s="77"/>
      <c r="E5" s="77"/>
    </row>
    <row r="6" s="13" customFormat="1" ht="20.25" spans="1:5">
      <c r="A6" s="18">
        <v>5</v>
      </c>
      <c r="B6" s="18" t="s">
        <v>9</v>
      </c>
      <c r="C6" s="20"/>
      <c r="D6" s="79"/>
      <c r="E6" s="77"/>
    </row>
    <row r="7" s="13" customFormat="1" ht="22" customHeight="1" spans="1:5">
      <c r="A7" s="18">
        <v>9</v>
      </c>
      <c r="B7" s="80" t="s">
        <v>10</v>
      </c>
      <c r="C7" s="81"/>
      <c r="D7" s="82"/>
      <c r="E7" s="85"/>
    </row>
    <row r="8" s="13" customFormat="1" ht="22" customHeight="1" spans="1:5">
      <c r="A8" s="18">
        <v>10</v>
      </c>
      <c r="B8" s="18" t="s">
        <v>11</v>
      </c>
      <c r="C8" s="20"/>
      <c r="D8" s="83">
        <v>0.06</v>
      </c>
      <c r="E8" s="86"/>
    </row>
    <row r="9" s="13" customFormat="1" ht="22" customHeight="1" spans="1:5">
      <c r="A9" s="18">
        <v>11</v>
      </c>
      <c r="B9" s="18" t="s">
        <v>12</v>
      </c>
      <c r="C9" s="20"/>
      <c r="D9" s="83">
        <v>0.1</v>
      </c>
      <c r="E9" s="86"/>
    </row>
    <row r="10" s="13" customFormat="1" ht="21" customHeight="1" spans="1:5">
      <c r="A10" s="18">
        <v>12</v>
      </c>
      <c r="B10" s="18" t="s">
        <v>13</v>
      </c>
      <c r="C10" s="20"/>
      <c r="D10" s="19"/>
      <c r="E10" s="87"/>
    </row>
    <row r="11" ht="21" customHeight="1" spans="1:5">
      <c r="A11" s="77" t="s">
        <v>14</v>
      </c>
      <c r="B11" s="77"/>
      <c r="C11" s="77"/>
      <c r="D11" s="77"/>
      <c r="E11" s="77"/>
    </row>
    <row r="12" spans="1:5">
      <c r="A12" s="84" t="s">
        <v>15</v>
      </c>
      <c r="B12" s="84"/>
      <c r="C12" s="84"/>
      <c r="D12" s="84"/>
      <c r="E12" s="84"/>
    </row>
    <row r="13" spans="1:5">
      <c r="A13" s="84"/>
      <c r="B13" s="84"/>
      <c r="C13" s="84"/>
      <c r="D13" s="84"/>
      <c r="E13" s="84"/>
    </row>
    <row r="14" spans="1:5">
      <c r="A14" s="84"/>
      <c r="B14" s="84"/>
      <c r="C14" s="84"/>
      <c r="D14" s="84"/>
      <c r="E14" s="84"/>
    </row>
    <row r="15" spans="1:5">
      <c r="A15" s="84"/>
      <c r="B15" s="84"/>
      <c r="C15" s="84"/>
      <c r="D15" s="84"/>
      <c r="E15" s="84"/>
    </row>
    <row r="16" spans="1:5">
      <c r="A16" s="84"/>
      <c r="B16" s="84"/>
      <c r="C16" s="84"/>
      <c r="D16" s="84"/>
      <c r="E16" s="84"/>
    </row>
    <row r="17" spans="1:5">
      <c r="A17" s="84"/>
      <c r="B17" s="84"/>
      <c r="C17" s="84"/>
      <c r="D17" s="84"/>
      <c r="E17" s="84"/>
    </row>
    <row r="18" spans="1:5">
      <c r="A18" s="84"/>
      <c r="B18" s="84"/>
      <c r="C18" s="84"/>
      <c r="D18" s="84"/>
      <c r="E18" s="84"/>
    </row>
    <row r="19" spans="1:5">
      <c r="A19" s="84"/>
      <c r="B19" s="84"/>
      <c r="C19" s="84"/>
      <c r="D19" s="84"/>
      <c r="E19" s="84"/>
    </row>
    <row r="20" spans="1:5">
      <c r="A20" s="84"/>
      <c r="B20" s="84"/>
      <c r="C20" s="84"/>
      <c r="D20" s="84"/>
      <c r="E20" s="84"/>
    </row>
    <row r="21" ht="3" customHeight="1" spans="1:5">
      <c r="A21" s="84"/>
      <c r="B21" s="84"/>
      <c r="C21" s="84"/>
      <c r="D21" s="84"/>
      <c r="E21" s="84"/>
    </row>
  </sheetData>
  <sheetProtection formatCells="0" insertHyperlinks="0" autoFilter="0"/>
  <mergeCells count="3">
    <mergeCell ref="B1:E1"/>
    <mergeCell ref="A11:E11"/>
    <mergeCell ref="A12:E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zoomScale="85" zoomScaleNormal="85" topLeftCell="A6" workbookViewId="0">
      <selection activeCell="D70" sqref="D70"/>
    </sheetView>
  </sheetViews>
  <sheetFormatPr defaultColWidth="9" defaultRowHeight="13.5"/>
  <cols>
    <col min="1" max="1" width="18.1333333333333" style="14" customWidth="1"/>
    <col min="2" max="2" width="24.1333333333333" style="14" customWidth="1"/>
    <col min="3" max="3" width="22.6333333333333" style="14" customWidth="1"/>
    <col min="4" max="4" width="26.75" style="14" customWidth="1"/>
    <col min="5" max="5" width="23.8833333333333" style="14" customWidth="1"/>
    <col min="6" max="6" width="21.1333333333333" style="14" customWidth="1"/>
    <col min="7" max="7" width="13.5" style="14" customWidth="1"/>
    <col min="8" max="8" width="15.6333333333333" style="14" customWidth="1"/>
    <col min="9" max="9" width="19.6333333333333" style="14" customWidth="1"/>
    <col min="10" max="10" width="14.1333333333333" style="14" customWidth="1"/>
    <col min="11" max="11" width="22.4833333333333" style="14" customWidth="1"/>
    <col min="12" max="12" width="9" style="14"/>
    <col min="13" max="13" width="14.25" style="14" customWidth="1"/>
    <col min="14" max="16384" width="9" style="14"/>
  </cols>
  <sheetData>
    <row r="1" spans="1:11">
      <c r="A1" s="64" t="s">
        <v>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18" customHeight="1" spans="1:11">
      <c r="A3" s="18"/>
      <c r="B3" s="18" t="s">
        <v>17</v>
      </c>
      <c r="C3" s="18" t="s">
        <v>18</v>
      </c>
      <c r="D3" s="18" t="s">
        <v>19</v>
      </c>
      <c r="E3" s="18" t="s">
        <v>20</v>
      </c>
      <c r="F3" s="18" t="s">
        <v>21</v>
      </c>
      <c r="G3" s="18" t="s">
        <v>22</v>
      </c>
      <c r="H3" s="18" t="s">
        <v>23</v>
      </c>
      <c r="I3" s="18" t="s">
        <v>24</v>
      </c>
      <c r="J3" s="18" t="s">
        <v>25</v>
      </c>
      <c r="K3" s="19" t="s">
        <v>5</v>
      </c>
    </row>
    <row r="4" ht="14.25" spans="1:11">
      <c r="A4" s="18" t="s">
        <v>26</v>
      </c>
      <c r="B4" s="65" t="s">
        <v>27</v>
      </c>
      <c r="C4" s="18"/>
      <c r="D4" s="18"/>
      <c r="E4" s="18">
        <v>12000</v>
      </c>
      <c r="F4" s="18"/>
      <c r="G4" s="18"/>
      <c r="H4" s="23"/>
      <c r="I4" s="18">
        <f>G42</f>
        <v>0</v>
      </c>
      <c r="J4" s="18"/>
      <c r="K4" s="19"/>
    </row>
    <row r="5" ht="29" customHeight="1" spans="1:11">
      <c r="A5" s="18" t="s">
        <v>28</v>
      </c>
      <c r="B5" s="65" t="s">
        <v>29</v>
      </c>
      <c r="C5" s="18"/>
      <c r="D5" s="18"/>
      <c r="E5" s="18" t="s">
        <v>30</v>
      </c>
      <c r="F5" s="18"/>
      <c r="G5" s="18"/>
      <c r="H5" s="57"/>
      <c r="I5" s="18"/>
      <c r="J5" s="18">
        <v>0</v>
      </c>
      <c r="K5" s="69" t="s">
        <v>31</v>
      </c>
    </row>
    <row r="6" ht="29" customHeight="1" spans="1:11">
      <c r="A6" s="18" t="s">
        <v>32</v>
      </c>
      <c r="B6" s="18" t="s">
        <v>33</v>
      </c>
      <c r="C6" s="18"/>
      <c r="D6" s="18"/>
      <c r="E6" s="18" t="s">
        <v>30</v>
      </c>
      <c r="F6" s="18"/>
      <c r="G6" s="18"/>
      <c r="H6" s="26"/>
      <c r="I6" s="18">
        <f>G43</f>
        <v>0</v>
      </c>
      <c r="J6" s="18">
        <v>0</v>
      </c>
      <c r="K6" s="70"/>
    </row>
    <row r="7" ht="14.25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</row>
    <row r="8" ht="14.25" spans="1:11">
      <c r="A8" s="18" t="s">
        <v>34</v>
      </c>
      <c r="B8" s="18"/>
      <c r="C8" s="18">
        <f>C4+C6+C5</f>
        <v>0</v>
      </c>
      <c r="D8" s="18"/>
      <c r="E8" s="18"/>
      <c r="F8" s="18"/>
      <c r="G8" s="18"/>
      <c r="H8" s="18"/>
      <c r="I8" s="18">
        <f>I4+I6</f>
        <v>0</v>
      </c>
      <c r="J8" s="18"/>
      <c r="K8" s="18"/>
    </row>
    <row r="9" spans="1:11">
      <c r="A9" s="23" t="s">
        <v>13</v>
      </c>
      <c r="B9" s="24"/>
      <c r="C9" s="25"/>
      <c r="D9" s="25"/>
      <c r="E9" s="25"/>
      <c r="F9" s="25"/>
      <c r="G9" s="25"/>
      <c r="H9" s="25"/>
      <c r="I9" s="25"/>
      <c r="J9" s="25"/>
      <c r="K9" s="33"/>
    </row>
    <row r="10" spans="1:11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34"/>
    </row>
    <row r="11" ht="14.25" spans="1:1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ht="14.25" spans="1:4">
      <c r="A12" s="53" t="s">
        <v>35</v>
      </c>
      <c r="B12" s="53"/>
      <c r="C12" s="53"/>
      <c r="D12" s="53"/>
    </row>
    <row r="13" ht="14.25" spans="1:4">
      <c r="A13" s="18" t="s">
        <v>36</v>
      </c>
      <c r="B13" s="18" t="s">
        <v>37</v>
      </c>
      <c r="C13" s="18" t="s">
        <v>38</v>
      </c>
      <c r="D13" s="18" t="s">
        <v>39</v>
      </c>
    </row>
    <row r="14" ht="14.25" spans="1:4">
      <c r="A14" s="18">
        <v>365</v>
      </c>
      <c r="B14" s="18">
        <v>20</v>
      </c>
      <c r="C14" s="54">
        <f>昌江雨天占比!D8</f>
        <v>0.108888888888889</v>
      </c>
      <c r="D14" s="20">
        <f>昌江雨天占比!D9</f>
        <v>307</v>
      </c>
    </row>
    <row r="17" spans="1:1">
      <c r="A17" s="14" t="s">
        <v>40</v>
      </c>
    </row>
    <row r="18" spans="1:1">
      <c r="A18" s="14" t="s">
        <v>41</v>
      </c>
    </row>
    <row r="19" ht="14.25" spans="1:6">
      <c r="A19" s="18"/>
      <c r="B19" s="18" t="s">
        <v>42</v>
      </c>
      <c r="C19" s="18" t="s">
        <v>43</v>
      </c>
      <c r="D19" s="18" t="s">
        <v>44</v>
      </c>
      <c r="E19" s="18" t="s">
        <v>45</v>
      </c>
      <c r="F19" s="18" t="s">
        <v>46</v>
      </c>
    </row>
    <row r="20" ht="14.25" spans="1:6">
      <c r="A20" s="18" t="s">
        <v>47</v>
      </c>
      <c r="B20" s="18"/>
      <c r="C20" s="18">
        <f>5*2</f>
        <v>10</v>
      </c>
      <c r="D20" s="18">
        <f>7</f>
        <v>7</v>
      </c>
      <c r="E20" s="18">
        <f>ROUND(B20*C20*D20,0)</f>
        <v>0</v>
      </c>
      <c r="F20" s="18">
        <f>ROUND(E20*D14,0)</f>
        <v>0</v>
      </c>
    </row>
    <row r="21" ht="14.25" spans="1:6">
      <c r="A21" s="18" t="s">
        <v>48</v>
      </c>
      <c r="B21" s="18"/>
      <c r="C21" s="18">
        <f>5*2</f>
        <v>10</v>
      </c>
      <c r="D21" s="18">
        <f>7</f>
        <v>7</v>
      </c>
      <c r="E21" s="18">
        <f>ROUND(B21*C21*D21,0)</f>
        <v>0</v>
      </c>
      <c r="F21" s="18">
        <f>ROUND(E21*D14,0)</f>
        <v>0</v>
      </c>
    </row>
    <row r="22" ht="14.25" spans="1:6">
      <c r="A22" s="18" t="s">
        <v>49</v>
      </c>
      <c r="B22" s="18"/>
      <c r="C22" s="18">
        <f>4*2+5*2</f>
        <v>18</v>
      </c>
      <c r="D22" s="18">
        <f>4</f>
        <v>4</v>
      </c>
      <c r="E22" s="18">
        <f>B22*C22*D22</f>
        <v>0</v>
      </c>
      <c r="F22" s="18">
        <f>ROUND(E22*D14,0)</f>
        <v>0</v>
      </c>
    </row>
    <row r="23" ht="14.25" spans="1:6">
      <c r="A23" s="59" t="s">
        <v>13</v>
      </c>
      <c r="B23" s="60"/>
      <c r="C23" s="59">
        <f>F20+F22+F21</f>
        <v>0</v>
      </c>
      <c r="D23" s="66"/>
      <c r="E23" s="66"/>
      <c r="F23" s="60"/>
    </row>
    <row r="25" ht="14.25" spans="1:6">
      <c r="A25" s="18"/>
      <c r="B25" s="18" t="s">
        <v>42</v>
      </c>
      <c r="C25" s="18" t="s">
        <v>43</v>
      </c>
      <c r="D25" s="18" t="s">
        <v>50</v>
      </c>
      <c r="E25" s="18" t="s">
        <v>51</v>
      </c>
      <c r="F25" s="18" t="s">
        <v>46</v>
      </c>
    </row>
    <row r="26" ht="14.25" spans="1:6">
      <c r="A26" s="18" t="s">
        <v>47</v>
      </c>
      <c r="B26" s="18"/>
      <c r="C26" s="18">
        <v>1</v>
      </c>
      <c r="D26" s="18">
        <v>7</v>
      </c>
      <c r="E26" s="18">
        <f>B26*C26*D26</f>
        <v>0</v>
      </c>
      <c r="F26" s="18">
        <f>E26*D14</f>
        <v>0</v>
      </c>
    </row>
    <row r="27" ht="14.25" spans="1:6">
      <c r="A27" s="18" t="s">
        <v>47</v>
      </c>
      <c r="B27" s="18"/>
      <c r="C27" s="18">
        <v>1</v>
      </c>
      <c r="D27" s="18">
        <v>7</v>
      </c>
      <c r="E27" s="18">
        <f>B27*C27*D27</f>
        <v>0</v>
      </c>
      <c r="F27" s="18">
        <f>E27*D14</f>
        <v>0</v>
      </c>
    </row>
    <row r="28" ht="14.25" spans="1:6">
      <c r="A28" s="18" t="s">
        <v>33</v>
      </c>
      <c r="B28" s="18"/>
      <c r="C28" s="18">
        <v>1</v>
      </c>
      <c r="D28" s="18">
        <v>4</v>
      </c>
      <c r="E28" s="18">
        <f>B28*C28*D28</f>
        <v>0</v>
      </c>
      <c r="F28" s="18">
        <f>E28*D14</f>
        <v>0</v>
      </c>
    </row>
    <row r="29" ht="14.25" spans="1:4">
      <c r="A29" s="53"/>
      <c r="B29" s="53"/>
      <c r="C29" s="53"/>
      <c r="D29" s="53"/>
    </row>
    <row r="30" ht="14.25" spans="1:6">
      <c r="A30" s="18"/>
      <c r="B30" s="18" t="s">
        <v>52</v>
      </c>
      <c r="C30" s="18" t="s">
        <v>53</v>
      </c>
      <c r="D30" s="18" t="s">
        <v>54</v>
      </c>
      <c r="E30" s="18" t="s">
        <v>55</v>
      </c>
      <c r="F30" s="18"/>
    </row>
    <row r="31" ht="14.25" spans="1:6">
      <c r="A31" s="18" t="s">
        <v>47</v>
      </c>
      <c r="B31" s="18">
        <f>C20*D20</f>
        <v>70</v>
      </c>
      <c r="C31" s="18">
        <v>30</v>
      </c>
      <c r="D31" s="18">
        <v>7</v>
      </c>
      <c r="E31" s="20">
        <f>D31*D14</f>
        <v>2149</v>
      </c>
      <c r="F31" s="67" t="s">
        <v>56</v>
      </c>
    </row>
    <row r="32" ht="14.25" spans="1:6">
      <c r="A32" s="18" t="s">
        <v>47</v>
      </c>
      <c r="B32" s="18">
        <f>C21*D21</f>
        <v>70</v>
      </c>
      <c r="C32" s="18">
        <v>31</v>
      </c>
      <c r="D32" s="18">
        <v>7</v>
      </c>
      <c r="E32" s="20">
        <f>D32*D14</f>
        <v>2149</v>
      </c>
      <c r="F32" s="68"/>
    </row>
    <row r="33" ht="14.25" spans="1:6">
      <c r="A33" s="18" t="s">
        <v>33</v>
      </c>
      <c r="B33" s="18">
        <f>C22*D22</f>
        <v>72</v>
      </c>
      <c r="C33" s="18">
        <v>40</v>
      </c>
      <c r="D33" s="18">
        <v>4</v>
      </c>
      <c r="E33" s="20">
        <f>D33*D14</f>
        <v>1228</v>
      </c>
      <c r="F33" s="71"/>
    </row>
    <row r="34" ht="14.25" spans="1:4">
      <c r="A34" s="53"/>
      <c r="B34" s="53"/>
      <c r="C34" s="53"/>
      <c r="D34" s="53"/>
    </row>
    <row r="35" ht="14.25" spans="1:4">
      <c r="A35" s="18"/>
      <c r="B35" s="18" t="s">
        <v>57</v>
      </c>
      <c r="C35" s="18" t="s">
        <v>58</v>
      </c>
      <c r="D35" s="18" t="s">
        <v>42</v>
      </c>
    </row>
    <row r="36" ht="14.25" spans="1:4">
      <c r="A36" s="18"/>
      <c r="B36" s="18"/>
      <c r="C36" s="18"/>
      <c r="D36" s="18"/>
    </row>
    <row r="37" ht="14.25" spans="1:4">
      <c r="A37" s="18" t="s">
        <v>47</v>
      </c>
      <c r="B37" s="18"/>
      <c r="C37" s="18">
        <v>0.45</v>
      </c>
      <c r="D37" s="58">
        <f>C37*B37</f>
        <v>0</v>
      </c>
    </row>
    <row r="38" ht="14.25" spans="1:4">
      <c r="A38" s="18" t="s">
        <v>33</v>
      </c>
      <c r="B38" s="18"/>
      <c r="C38" s="18">
        <v>0.6</v>
      </c>
      <c r="D38" s="58">
        <f>C38*B38</f>
        <v>0</v>
      </c>
    </row>
    <row r="45" spans="1:1">
      <c r="A45" s="14" t="s">
        <v>59</v>
      </c>
    </row>
    <row r="46" ht="14.25" spans="1:4">
      <c r="A46" s="18"/>
      <c r="B46" s="18" t="s">
        <v>60</v>
      </c>
      <c r="C46" s="18" t="s">
        <v>61</v>
      </c>
      <c r="D46" s="18" t="s">
        <v>13</v>
      </c>
    </row>
    <row r="47" ht="14.25" spans="1:4">
      <c r="A47" s="18" t="s">
        <v>47</v>
      </c>
      <c r="B47" s="18">
        <v>6</v>
      </c>
      <c r="C47" s="18"/>
      <c r="D47" s="18">
        <f>B47*C47*2</f>
        <v>0</v>
      </c>
    </row>
    <row r="48" ht="14.25" spans="1:4">
      <c r="A48" s="18" t="s">
        <v>33</v>
      </c>
      <c r="B48" s="18">
        <v>6</v>
      </c>
      <c r="C48" s="18"/>
      <c r="D48" s="18">
        <f>B48*C48</f>
        <v>0</v>
      </c>
    </row>
    <row r="49" ht="14.25" spans="1:4">
      <c r="A49" s="59" t="s">
        <v>13</v>
      </c>
      <c r="B49" s="60"/>
      <c r="C49" s="59">
        <f>D47+D48</f>
        <v>0</v>
      </c>
      <c r="D49" s="60"/>
    </row>
    <row r="50" spans="1:1">
      <c r="A50" s="14" t="s">
        <v>62</v>
      </c>
    </row>
    <row r="51" spans="1:1">
      <c r="A51" s="14" t="s">
        <v>63</v>
      </c>
    </row>
    <row r="52" ht="14.25" spans="1:5">
      <c r="A52" s="18"/>
      <c r="B52" s="18" t="s">
        <v>64</v>
      </c>
      <c r="C52" s="18" t="s">
        <v>65</v>
      </c>
      <c r="D52" s="18" t="s">
        <v>66</v>
      </c>
      <c r="E52" s="18" t="s">
        <v>13</v>
      </c>
    </row>
    <row r="53" ht="14.25" spans="1:5">
      <c r="A53" s="18" t="s">
        <v>47</v>
      </c>
      <c r="B53" s="23">
        <v>6</v>
      </c>
      <c r="C53" s="23"/>
      <c r="D53" s="23">
        <f>B53*C53*12</f>
        <v>0</v>
      </c>
      <c r="E53" s="23">
        <f>D53+D54</f>
        <v>0</v>
      </c>
    </row>
    <row r="54" ht="14.25" spans="1:5">
      <c r="A54" s="18" t="s">
        <v>33</v>
      </c>
      <c r="B54" s="26"/>
      <c r="C54" s="26"/>
      <c r="D54" s="26"/>
      <c r="E54" s="26"/>
    </row>
    <row r="55" spans="1:1">
      <c r="A55" s="14" t="s">
        <v>67</v>
      </c>
    </row>
    <row r="56" spans="1:1">
      <c r="A56" s="14" t="s">
        <v>68</v>
      </c>
    </row>
    <row r="57" ht="14.25" spans="1:6">
      <c r="A57" s="18"/>
      <c r="B57" s="18" t="s">
        <v>69</v>
      </c>
      <c r="C57" s="18" t="s">
        <v>70</v>
      </c>
      <c r="D57" s="18" t="s">
        <v>66</v>
      </c>
      <c r="E57" s="72" t="s">
        <v>71</v>
      </c>
      <c r="F57" s="47"/>
    </row>
    <row r="58" ht="14.25" spans="1:6">
      <c r="A58" s="18" t="s">
        <v>72</v>
      </c>
      <c r="B58" s="18"/>
      <c r="C58" s="18"/>
      <c r="D58" s="18"/>
      <c r="E58" s="73"/>
      <c r="F58" s="74"/>
    </row>
    <row r="59" ht="14.25" spans="1:6">
      <c r="A59" s="18"/>
      <c r="B59" s="18"/>
      <c r="C59" s="18"/>
      <c r="D59" s="18"/>
      <c r="E59" s="75"/>
      <c r="F59" s="48"/>
    </row>
    <row r="62" spans="1:9">
      <c r="A62" s="21" t="s">
        <v>73</v>
      </c>
      <c r="B62" s="21"/>
      <c r="C62" s="21"/>
      <c r="D62" s="21"/>
      <c r="E62" s="21"/>
      <c r="F62" s="21"/>
      <c r="G62" s="21"/>
      <c r="H62" s="21"/>
      <c r="I62" s="21"/>
    </row>
    <row r="63" spans="1:9">
      <c r="A63" s="21"/>
      <c r="B63" s="21"/>
      <c r="C63" s="21"/>
      <c r="D63" s="21"/>
      <c r="E63" s="21"/>
      <c r="F63" s="21"/>
      <c r="G63" s="21"/>
      <c r="H63" s="21"/>
      <c r="I63" s="21"/>
    </row>
  </sheetData>
  <sheetProtection formatCells="0" insertHyperlinks="0" autoFilter="0"/>
  <mergeCells count="16">
    <mergeCell ref="A23:B23"/>
    <mergeCell ref="C23:F23"/>
    <mergeCell ref="A49:B49"/>
    <mergeCell ref="C49:D49"/>
    <mergeCell ref="A9:A10"/>
    <mergeCell ref="B53:B54"/>
    <mergeCell ref="C53:C54"/>
    <mergeCell ref="D53:D54"/>
    <mergeCell ref="E53:E54"/>
    <mergeCell ref="F31:F33"/>
    <mergeCell ref="H4:H6"/>
    <mergeCell ref="K5:K6"/>
    <mergeCell ref="A1:K2"/>
    <mergeCell ref="B9:K10"/>
    <mergeCell ref="A62:I63"/>
    <mergeCell ref="E57:F59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6"/>
  <sheetViews>
    <sheetView workbookViewId="0">
      <selection activeCell="G18" sqref="G18"/>
    </sheetView>
  </sheetViews>
  <sheetFormatPr defaultColWidth="9" defaultRowHeight="13.5"/>
  <cols>
    <col min="1" max="1" width="9" style="14"/>
    <col min="2" max="2" width="16.3833333333333" style="14" customWidth="1"/>
    <col min="3" max="3" width="19.25" style="14" customWidth="1"/>
    <col min="4" max="4" width="23.75" style="14" customWidth="1"/>
    <col min="5" max="5" width="18.3833333333333" style="14" customWidth="1"/>
    <col min="6" max="6" width="14.5" style="14" customWidth="1"/>
    <col min="7" max="7" width="15.1333333333333" style="14" customWidth="1"/>
    <col min="8" max="8" width="15.75" style="14" customWidth="1"/>
    <col min="9" max="16384" width="9" style="14"/>
  </cols>
  <sheetData>
    <row r="2" ht="14.25" spans="1:9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74</v>
      </c>
      <c r="F2" s="18" t="s">
        <v>22</v>
      </c>
      <c r="G2" s="18" t="s">
        <v>75</v>
      </c>
      <c r="H2" s="18" t="s">
        <v>25</v>
      </c>
      <c r="I2" s="19" t="s">
        <v>5</v>
      </c>
    </row>
    <row r="3" spans="1:9">
      <c r="A3" s="47" t="s">
        <v>76</v>
      </c>
      <c r="B3" s="47">
        <f>E20</f>
        <v>20355</v>
      </c>
      <c r="C3" s="47">
        <f>E27</f>
        <v>5600</v>
      </c>
      <c r="D3" s="47">
        <v>12500</v>
      </c>
      <c r="E3" s="47">
        <f>E31</f>
        <v>12000</v>
      </c>
      <c r="F3" s="47">
        <v>500</v>
      </c>
      <c r="G3" s="47">
        <f>E39</f>
        <v>168000</v>
      </c>
      <c r="H3" s="47">
        <f>E45</f>
        <v>50000</v>
      </c>
      <c r="I3" s="47"/>
    </row>
    <row r="4" spans="1:9">
      <c r="A4" s="48"/>
      <c r="B4" s="48"/>
      <c r="C4" s="48"/>
      <c r="D4" s="48"/>
      <c r="E4" s="48"/>
      <c r="F4" s="48"/>
      <c r="G4" s="48"/>
      <c r="H4" s="48"/>
      <c r="I4" s="48"/>
    </row>
    <row r="5" ht="14.25" spans="1:9">
      <c r="A5" s="18"/>
      <c r="B5" s="18"/>
      <c r="C5" s="18"/>
      <c r="D5" s="18"/>
      <c r="E5" s="18"/>
      <c r="F5" s="18"/>
      <c r="G5" s="18"/>
      <c r="H5" s="18"/>
      <c r="I5" s="19"/>
    </row>
    <row r="6" ht="14.25" spans="1:9">
      <c r="A6" s="18"/>
      <c r="B6" s="18">
        <f t="shared" ref="B6:I6" si="0">B3+B4</f>
        <v>20355</v>
      </c>
      <c r="C6" s="18">
        <f t="shared" si="0"/>
        <v>5600</v>
      </c>
      <c r="D6" s="18">
        <f t="shared" si="0"/>
        <v>12500</v>
      </c>
      <c r="E6" s="18">
        <f t="shared" si="0"/>
        <v>12000</v>
      </c>
      <c r="F6" s="18">
        <f t="shared" si="0"/>
        <v>500</v>
      </c>
      <c r="G6" s="18">
        <f t="shared" si="0"/>
        <v>168000</v>
      </c>
      <c r="H6" s="18">
        <f t="shared" si="0"/>
        <v>50000</v>
      </c>
      <c r="I6" s="18"/>
    </row>
    <row r="7" spans="1:9">
      <c r="A7" s="49">
        <v>0</v>
      </c>
      <c r="B7" s="50"/>
      <c r="C7" s="50"/>
      <c r="D7" s="50"/>
      <c r="E7" s="50"/>
      <c r="F7" s="50"/>
      <c r="G7" s="50"/>
      <c r="H7" s="50"/>
      <c r="I7" s="62"/>
    </row>
    <row r="8" spans="1:9">
      <c r="A8" s="51"/>
      <c r="B8" s="52"/>
      <c r="C8" s="52"/>
      <c r="D8" s="52"/>
      <c r="E8" s="52"/>
      <c r="F8" s="52"/>
      <c r="G8" s="52"/>
      <c r="H8" s="52"/>
      <c r="I8" s="63"/>
    </row>
    <row r="11" ht="14.25" spans="1:4">
      <c r="A11" s="53" t="s">
        <v>35</v>
      </c>
      <c r="B11" s="53"/>
      <c r="C11" s="53"/>
      <c r="D11" s="53"/>
    </row>
    <row r="12" ht="14.25" spans="2:5">
      <c r="B12" s="18" t="s">
        <v>36</v>
      </c>
      <c r="C12" s="18" t="s">
        <v>37</v>
      </c>
      <c r="D12" s="18" t="s">
        <v>38</v>
      </c>
      <c r="E12" s="18" t="s">
        <v>39</v>
      </c>
    </row>
    <row r="13" ht="14.25" spans="2:5">
      <c r="B13" s="18">
        <v>365</v>
      </c>
      <c r="C13" s="18">
        <v>20</v>
      </c>
      <c r="D13" s="54">
        <f>昌江雨天占比!D8</f>
        <v>0.108888888888889</v>
      </c>
      <c r="E13" s="20">
        <f>(B13-C13)</f>
        <v>345</v>
      </c>
    </row>
    <row r="14" ht="14.25" spans="1:4">
      <c r="A14" s="53"/>
      <c r="B14" s="53"/>
      <c r="C14" s="55"/>
      <c r="D14" s="56"/>
    </row>
    <row r="15" spans="1:1">
      <c r="A15" s="14" t="s">
        <v>77</v>
      </c>
    </row>
    <row r="16" spans="1:1">
      <c r="A16" s="14" t="s">
        <v>78</v>
      </c>
    </row>
    <row r="17" ht="14.25" spans="2:5">
      <c r="B17" s="18"/>
      <c r="C17" s="18" t="s">
        <v>79</v>
      </c>
      <c r="D17" s="18" t="s">
        <v>80</v>
      </c>
      <c r="E17" s="18" t="s">
        <v>57</v>
      </c>
    </row>
    <row r="18" ht="14.25" spans="2:5">
      <c r="B18" s="23" t="s">
        <v>76</v>
      </c>
      <c r="C18" s="18">
        <v>35</v>
      </c>
      <c r="D18" s="18">
        <f>C18/100</f>
        <v>0.35</v>
      </c>
      <c r="E18" s="18">
        <v>8.01</v>
      </c>
    </row>
    <row r="19" ht="14.25" spans="2:5">
      <c r="B19" s="57"/>
      <c r="C19" s="18" t="s">
        <v>81</v>
      </c>
      <c r="D19" s="18" t="s">
        <v>82</v>
      </c>
      <c r="E19" s="18" t="s">
        <v>83</v>
      </c>
    </row>
    <row r="20" ht="14.25" spans="2:5">
      <c r="B20" s="26"/>
      <c r="C20" s="18">
        <f>C23</f>
        <v>21</v>
      </c>
      <c r="D20" s="58">
        <f>ROUND(D18*C20*E18,0)</f>
        <v>59</v>
      </c>
      <c r="E20" s="58">
        <f>ROUND(D20*E13,0)</f>
        <v>20355</v>
      </c>
    </row>
    <row r="21" spans="1:1">
      <c r="A21" s="14" t="s">
        <v>84</v>
      </c>
    </row>
    <row r="22" ht="14.25" spans="2:3">
      <c r="B22" s="18" t="s">
        <v>85</v>
      </c>
      <c r="C22" s="18" t="s">
        <v>86</v>
      </c>
    </row>
    <row r="23" ht="14.25" spans="2:3">
      <c r="B23" s="18">
        <v>3.5</v>
      </c>
      <c r="C23" s="18">
        <f>B23*2*3</f>
        <v>21</v>
      </c>
    </row>
    <row r="25" spans="1:1">
      <c r="A25" s="14" t="s">
        <v>87</v>
      </c>
    </row>
    <row r="26" ht="14.25" spans="2:5">
      <c r="B26" s="18"/>
      <c r="C26" s="18" t="s">
        <v>88</v>
      </c>
      <c r="D26" s="18" t="s">
        <v>89</v>
      </c>
      <c r="E26" s="18" t="s">
        <v>66</v>
      </c>
    </row>
    <row r="27" ht="14.25" spans="2:5">
      <c r="B27" s="18" t="s">
        <v>76</v>
      </c>
      <c r="C27" s="18">
        <v>4</v>
      </c>
      <c r="D27" s="18">
        <v>1400</v>
      </c>
      <c r="E27" s="18">
        <f>C27*D27</f>
        <v>5600</v>
      </c>
    </row>
    <row r="28" spans="2:2">
      <c r="B28" s="14" t="s">
        <v>90</v>
      </c>
    </row>
    <row r="29" spans="2:2">
      <c r="B29" s="14" t="s">
        <v>91</v>
      </c>
    </row>
    <row r="30" ht="14.25" spans="2:5">
      <c r="B30" s="18"/>
      <c r="C30" s="59" t="s">
        <v>92</v>
      </c>
      <c r="D30" s="60"/>
      <c r="E30" s="18" t="s">
        <v>66</v>
      </c>
    </row>
    <row r="31" ht="14.25" spans="2:5">
      <c r="B31" s="18" t="s">
        <v>76</v>
      </c>
      <c r="C31" s="61">
        <v>12000</v>
      </c>
      <c r="D31" s="60"/>
      <c r="E31" s="18">
        <f>C31</f>
        <v>12000</v>
      </c>
    </row>
    <row r="33" ht="14.25" spans="2:6">
      <c r="B33" s="18"/>
      <c r="C33" s="18" t="s">
        <v>93</v>
      </c>
      <c r="D33" s="18" t="s">
        <v>94</v>
      </c>
      <c r="E33" s="18" t="s">
        <v>19</v>
      </c>
      <c r="F33" s="18" t="s">
        <v>66</v>
      </c>
    </row>
    <row r="34" ht="14.25" spans="2:6">
      <c r="B34" s="18" t="s">
        <v>76</v>
      </c>
      <c r="C34" s="18">
        <v>6000</v>
      </c>
      <c r="D34" s="18">
        <v>10000</v>
      </c>
      <c r="E34" s="18">
        <f>E27</f>
        <v>5600</v>
      </c>
      <c r="F34" s="18">
        <f>C34+D34+E34</f>
        <v>21600</v>
      </c>
    </row>
    <row r="36" spans="1:1">
      <c r="A36" s="14" t="s">
        <v>95</v>
      </c>
    </row>
    <row r="37" spans="2:2">
      <c r="B37" s="14" t="s">
        <v>63</v>
      </c>
    </row>
    <row r="38" ht="14.25" spans="2:5">
      <c r="B38" s="18"/>
      <c r="C38" s="18" t="s">
        <v>64</v>
      </c>
      <c r="D38" s="18" t="s">
        <v>65</v>
      </c>
      <c r="E38" s="18" t="s">
        <v>66</v>
      </c>
    </row>
    <row r="39" spans="2:5">
      <c r="B39" s="23" t="s">
        <v>76</v>
      </c>
      <c r="C39" s="23">
        <v>2</v>
      </c>
      <c r="D39" s="23">
        <v>7000</v>
      </c>
      <c r="E39" s="23">
        <f>C39*D39*12</f>
        <v>168000</v>
      </c>
    </row>
    <row r="40" spans="2:5">
      <c r="B40" s="26"/>
      <c r="C40" s="26"/>
      <c r="D40" s="26"/>
      <c r="E40" s="26"/>
    </row>
    <row r="41" spans="2:2">
      <c r="B41" s="14" t="s">
        <v>96</v>
      </c>
    </row>
    <row r="42" spans="1:1">
      <c r="A42" s="14" t="s">
        <v>67</v>
      </c>
    </row>
    <row r="43" spans="1:1">
      <c r="A43" s="14" t="s">
        <v>68</v>
      </c>
    </row>
    <row r="44" ht="14.25" spans="2:5">
      <c r="B44" s="18"/>
      <c r="C44" s="18" t="s">
        <v>69</v>
      </c>
      <c r="D44" s="18" t="s">
        <v>70</v>
      </c>
      <c r="E44" s="18" t="s">
        <v>66</v>
      </c>
    </row>
    <row r="45" ht="14.25" spans="2:5">
      <c r="B45" s="18" t="s">
        <v>76</v>
      </c>
      <c r="C45" s="18">
        <v>250000</v>
      </c>
      <c r="D45" s="18">
        <v>5</v>
      </c>
      <c r="E45" s="18">
        <f>ROUND(C45/D45,0)</f>
        <v>50000</v>
      </c>
    </row>
    <row r="46" ht="14.25" spans="2:5">
      <c r="B46" s="18"/>
      <c r="C46" s="18"/>
      <c r="D46" s="18"/>
      <c r="E46" s="18"/>
    </row>
    <row r="47" spans="2:2">
      <c r="B47" s="14" t="s">
        <v>97</v>
      </c>
    </row>
    <row r="49" spans="1:4">
      <c r="A49" s="21" t="s">
        <v>98</v>
      </c>
      <c r="B49" s="21"/>
      <c r="C49" s="21"/>
      <c r="D49" s="21"/>
    </row>
    <row r="50" spans="1:4">
      <c r="A50" s="21"/>
      <c r="B50" s="21"/>
      <c r="C50" s="21"/>
      <c r="D50" s="21"/>
    </row>
    <row r="52" spans="1:4">
      <c r="A52" s="21" t="s">
        <v>99</v>
      </c>
      <c r="B52" s="21"/>
      <c r="C52" s="21"/>
      <c r="D52" s="21"/>
    </row>
    <row r="53" spans="1:4">
      <c r="A53" s="21"/>
      <c r="B53" s="21"/>
      <c r="C53" s="21"/>
      <c r="D53" s="21"/>
    </row>
    <row r="54" spans="1:4">
      <c r="A54" s="21"/>
      <c r="B54" s="21"/>
      <c r="C54" s="21"/>
      <c r="D54" s="21"/>
    </row>
    <row r="55" spans="1:6">
      <c r="A55" s="21" t="s">
        <v>100</v>
      </c>
      <c r="B55" s="21"/>
      <c r="C55" s="21"/>
      <c r="D55" s="21"/>
      <c r="E55" s="21"/>
      <c r="F55" s="21"/>
    </row>
    <row r="56" spans="1:6">
      <c r="A56" s="21"/>
      <c r="B56" s="21"/>
      <c r="C56" s="21"/>
      <c r="D56" s="21"/>
      <c r="E56" s="21"/>
      <c r="F56" s="21"/>
    </row>
  </sheetData>
  <sheetProtection formatCells="0" insertHyperlinks="0" autoFilter="0"/>
  <mergeCells count="21">
    <mergeCell ref="C30:D30"/>
    <mergeCell ref="C31:D31"/>
    <mergeCell ref="A54:D54"/>
    <mergeCell ref="A3:A4"/>
    <mergeCell ref="B3:B4"/>
    <mergeCell ref="B18:B20"/>
    <mergeCell ref="B39:B40"/>
    <mergeCell ref="C3:C4"/>
    <mergeCell ref="C39:C40"/>
    <mergeCell ref="D3:D4"/>
    <mergeCell ref="D39:D40"/>
    <mergeCell ref="E3:E4"/>
    <mergeCell ref="E39:E40"/>
    <mergeCell ref="F3:F4"/>
    <mergeCell ref="G3:G4"/>
    <mergeCell ref="H3:H4"/>
    <mergeCell ref="I3:I4"/>
    <mergeCell ref="A7:I8"/>
    <mergeCell ref="A49:D50"/>
    <mergeCell ref="A52:D53"/>
    <mergeCell ref="A55:F5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K25" sqref="K25"/>
    </sheetView>
  </sheetViews>
  <sheetFormatPr defaultColWidth="8.89166666666667" defaultRowHeight="13.5" outlineLevelCol="5"/>
  <cols>
    <col min="1" max="3" width="20.775" style="35" customWidth="1"/>
    <col min="4" max="4" width="23.225" style="35" customWidth="1"/>
    <col min="5" max="6" width="20.775" style="35" customWidth="1"/>
    <col min="7" max="16383" width="8.89166666666667" style="35"/>
    <col min="16384" max="16384" width="8.89166666666667" style="36"/>
  </cols>
  <sheetData>
    <row r="1" s="35" customFormat="1" ht="20.25" spans="1:6">
      <c r="A1" s="37" t="s">
        <v>101</v>
      </c>
      <c r="B1" s="37"/>
      <c r="C1" s="37"/>
      <c r="D1" s="37"/>
      <c r="E1" s="37"/>
      <c r="F1" s="44"/>
    </row>
    <row r="2" s="35" customFormat="1" spans="1:6">
      <c r="A2" s="38"/>
      <c r="B2" s="38"/>
      <c r="C2" s="38"/>
      <c r="D2" s="38"/>
      <c r="E2" s="38"/>
      <c r="F2" s="44"/>
    </row>
    <row r="3" s="35" customFormat="1" ht="14.25" spans="1:6">
      <c r="A3" s="3" t="s">
        <v>102</v>
      </c>
      <c r="B3" s="3" t="s">
        <v>17</v>
      </c>
      <c r="C3" s="3" t="s">
        <v>103</v>
      </c>
      <c r="D3" s="3" t="s">
        <v>104</v>
      </c>
      <c r="E3" s="3" t="s">
        <v>105</v>
      </c>
      <c r="F3" s="45" t="s">
        <v>106</v>
      </c>
    </row>
    <row r="4" s="35" customFormat="1" ht="14.25" spans="1:6">
      <c r="A4" s="3" t="s">
        <v>107</v>
      </c>
      <c r="B4" s="3">
        <v>200</v>
      </c>
      <c r="C4" s="3">
        <f>1200*B17</f>
        <v>28800</v>
      </c>
      <c r="D4" s="3"/>
      <c r="E4" s="3">
        <f>D4*E9*B17</f>
        <v>0</v>
      </c>
      <c r="F4" s="11"/>
    </row>
    <row r="5" s="35" customFormat="1" ht="14.25" spans="1:6">
      <c r="A5" s="3" t="s">
        <v>108</v>
      </c>
      <c r="B5" s="3"/>
      <c r="C5" s="3">
        <f>C4</f>
        <v>28800</v>
      </c>
      <c r="D5" s="3"/>
      <c r="E5" s="3">
        <f>SUM(E4:E4)</f>
        <v>0</v>
      </c>
      <c r="F5" s="11"/>
    </row>
    <row r="6" s="35" customFormat="1" ht="14.25" spans="1:6">
      <c r="A6" s="3" t="s">
        <v>109</v>
      </c>
      <c r="B6" s="3"/>
      <c r="C6" s="8"/>
      <c r="D6" s="8"/>
      <c r="E6" s="9"/>
      <c r="F6" s="12"/>
    </row>
    <row r="7" s="35" customFormat="1" ht="14.25" spans="1:6">
      <c r="A7" s="39" t="s">
        <v>18</v>
      </c>
      <c r="B7" s="39"/>
      <c r="C7" s="39"/>
      <c r="D7" s="39"/>
      <c r="E7" s="39"/>
      <c r="F7" s="44"/>
    </row>
    <row r="8" s="35" customFormat="1" ht="14.25" spans="1:6">
      <c r="A8" s="3"/>
      <c r="B8" s="3" t="s">
        <v>17</v>
      </c>
      <c r="C8" s="3"/>
      <c r="D8" s="3"/>
      <c r="E8" s="3" t="s">
        <v>110</v>
      </c>
      <c r="F8" s="3"/>
    </row>
    <row r="9" s="35" customFormat="1" ht="14.25" spans="1:6">
      <c r="A9" s="3" t="s">
        <v>111</v>
      </c>
      <c r="B9" s="3">
        <v>200</v>
      </c>
      <c r="C9" s="3"/>
      <c r="D9" s="3"/>
      <c r="E9" s="3">
        <v>16</v>
      </c>
      <c r="F9" s="3">
        <f>D9*E9</f>
        <v>0</v>
      </c>
    </row>
    <row r="10" s="35" customFormat="1" ht="14.25" spans="1:6">
      <c r="A10" s="3"/>
      <c r="B10" s="3"/>
      <c r="C10" s="3"/>
      <c r="D10" s="3"/>
      <c r="E10" s="3"/>
      <c r="F10" s="3"/>
    </row>
    <row r="11" s="35" customFormat="1" ht="14.25" spans="1:6">
      <c r="A11" s="39" t="s">
        <v>63</v>
      </c>
      <c r="B11" s="39"/>
      <c r="C11" s="39"/>
      <c r="D11" s="39"/>
      <c r="E11" s="39"/>
      <c r="F11" s="44"/>
    </row>
    <row r="12" s="35" customFormat="1" ht="14.25" spans="1:6">
      <c r="A12" s="3"/>
      <c r="B12" s="3" t="s">
        <v>112</v>
      </c>
      <c r="C12" s="3"/>
      <c r="D12" s="3" t="s">
        <v>113</v>
      </c>
      <c r="E12" s="3" t="s">
        <v>114</v>
      </c>
      <c r="F12" s="3"/>
    </row>
    <row r="13" s="35" customFormat="1" ht="14.25" spans="1:6">
      <c r="A13" s="3" t="s">
        <v>115</v>
      </c>
      <c r="B13" s="3">
        <v>4</v>
      </c>
      <c r="C13" s="3"/>
      <c r="D13" s="3"/>
      <c r="E13" s="3">
        <f>D13*B13*B17</f>
        <v>0</v>
      </c>
      <c r="F13" s="46"/>
    </row>
    <row r="14" s="35" customFormat="1" ht="14.25" spans="1:6">
      <c r="A14" s="3"/>
      <c r="B14" s="3"/>
      <c r="C14" s="3"/>
      <c r="D14" s="3"/>
      <c r="E14" s="3"/>
      <c r="F14" s="3"/>
    </row>
    <row r="15" s="35" customFormat="1" ht="14.25" spans="1:6">
      <c r="A15" s="39"/>
      <c r="B15" s="39"/>
      <c r="C15" s="39"/>
      <c r="D15" s="39"/>
      <c r="E15" s="39"/>
      <c r="F15" s="44"/>
    </row>
    <row r="16" s="35" customFormat="1" ht="14.25" spans="1:6">
      <c r="A16" s="3" t="s">
        <v>116</v>
      </c>
      <c r="B16" s="3" t="s">
        <v>117</v>
      </c>
      <c r="C16" s="3"/>
      <c r="D16" s="3"/>
      <c r="E16" s="3"/>
      <c r="F16" s="3"/>
    </row>
    <row r="17" s="35" customFormat="1" ht="14.25" spans="1:6">
      <c r="A17" s="3">
        <v>2</v>
      </c>
      <c r="B17" s="3">
        <f>A17*12</f>
        <v>24</v>
      </c>
      <c r="C17" s="3"/>
      <c r="D17" s="3"/>
      <c r="E17" s="3"/>
      <c r="F17" s="3"/>
    </row>
    <row r="18" s="35" customFormat="1" ht="14.25" spans="1:6">
      <c r="A18" s="3"/>
      <c r="B18" s="3"/>
      <c r="C18" s="3"/>
      <c r="D18" s="3"/>
      <c r="E18" s="3"/>
      <c r="F18" s="3"/>
    </row>
    <row r="19" s="35" customFormat="1" ht="57" spans="1:6">
      <c r="A19" s="40" t="s">
        <v>118</v>
      </c>
      <c r="B19" s="39"/>
      <c r="C19" s="39"/>
      <c r="D19" s="39"/>
      <c r="E19" s="39"/>
      <c r="F19" s="39"/>
    </row>
    <row r="20" s="35" customFormat="1" ht="14.25" spans="1:6">
      <c r="A20" s="3" t="s">
        <v>119</v>
      </c>
      <c r="B20" s="3" t="s">
        <v>64</v>
      </c>
      <c r="C20" s="3" t="s">
        <v>120</v>
      </c>
      <c r="D20" s="3" t="s">
        <v>121</v>
      </c>
      <c r="E20" s="3" t="s">
        <v>122</v>
      </c>
      <c r="F20" s="3"/>
    </row>
    <row r="21" s="35" customFormat="1" ht="14.25" spans="1:6">
      <c r="A21" s="3" t="s">
        <v>123</v>
      </c>
      <c r="B21" s="3">
        <v>4</v>
      </c>
      <c r="C21" s="3">
        <v>12</v>
      </c>
      <c r="D21" s="3"/>
      <c r="E21" s="3">
        <f>D21*C21*B21</f>
        <v>0</v>
      </c>
      <c r="F21" s="3"/>
    </row>
    <row r="22" s="35" customFormat="1" ht="14.25" spans="1:6">
      <c r="A22" s="3"/>
      <c r="B22" s="3"/>
      <c r="C22" s="3"/>
      <c r="D22" s="3"/>
      <c r="E22" s="3"/>
      <c r="F22" s="3"/>
    </row>
    <row r="23" s="35" customFormat="1" spans="1:6">
      <c r="A23" s="41"/>
      <c r="B23" s="41"/>
      <c r="C23" s="41"/>
      <c r="D23" s="41"/>
      <c r="E23" s="41"/>
      <c r="F23" s="44"/>
    </row>
    <row r="24" s="35" customFormat="1" spans="1:6">
      <c r="A24" s="41"/>
      <c r="B24" s="41"/>
      <c r="C24" s="41"/>
      <c r="D24" s="41"/>
      <c r="E24" s="41"/>
      <c r="F24" s="44"/>
    </row>
    <row r="25" s="35" customFormat="1" spans="1:6">
      <c r="A25" s="41" t="s">
        <v>124</v>
      </c>
      <c r="B25" s="41"/>
      <c r="C25" s="41"/>
      <c r="D25" s="41"/>
      <c r="E25" s="41"/>
      <c r="F25" s="44"/>
    </row>
    <row r="26" s="35" customFormat="1" ht="14.25" spans="1:6">
      <c r="A26" s="42" t="s">
        <v>125</v>
      </c>
      <c r="B26" s="42"/>
      <c r="C26" s="42"/>
      <c r="D26" s="42"/>
      <c r="E26" s="42"/>
      <c r="F26" s="44"/>
    </row>
    <row r="27" s="35" customFormat="1" ht="40" customHeight="1" spans="1:6">
      <c r="A27" s="43" t="s">
        <v>126</v>
      </c>
      <c r="B27" s="43"/>
      <c r="C27" s="43"/>
      <c r="D27" s="43"/>
      <c r="E27" s="43"/>
      <c r="F27" s="43"/>
    </row>
    <row r="28" s="35" customFormat="1" ht="51" customHeight="1" spans="1:6">
      <c r="A28" s="43"/>
      <c r="B28" s="43"/>
      <c r="C28" s="43"/>
      <c r="D28" s="43"/>
      <c r="E28" s="43"/>
      <c r="F28" s="43"/>
    </row>
    <row r="29" s="35" customFormat="1" ht="26" customHeight="1" spans="1:6">
      <c r="A29" s="41"/>
      <c r="B29" s="41"/>
      <c r="C29" s="41"/>
      <c r="D29" s="41"/>
      <c r="E29" s="41"/>
      <c r="F29" s="41"/>
    </row>
  </sheetData>
  <sheetProtection formatCells="0" insertHyperlinks="0" autoFilter="0"/>
  <mergeCells count="6">
    <mergeCell ref="A1:E1"/>
    <mergeCell ref="D6:F6"/>
    <mergeCell ref="A25:E25"/>
    <mergeCell ref="A27:F27"/>
    <mergeCell ref="A28:F28"/>
    <mergeCell ref="A29:F2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D34" sqref="D34"/>
    </sheetView>
  </sheetViews>
  <sheetFormatPr defaultColWidth="8.89166666666667" defaultRowHeight="13.5"/>
  <cols>
    <col min="1" max="1" width="19.6333333333333" style="13" customWidth="1"/>
    <col min="2" max="2" width="14.3833333333333" style="13" customWidth="1"/>
    <col min="3" max="3" width="19.3833333333333" style="13" customWidth="1"/>
    <col min="4" max="4" width="14.1333333333333" style="13" customWidth="1"/>
    <col min="5" max="5" width="20.25" style="13" customWidth="1"/>
    <col min="6" max="6" width="22.25" style="13" customWidth="1"/>
    <col min="7" max="7" width="18.3833333333333" style="13" customWidth="1"/>
    <col min="8" max="8" width="19.1333333333333" style="13" customWidth="1"/>
    <col min="9" max="9" width="13.8833333333333" style="13" customWidth="1"/>
    <col min="10" max="10" width="13.75" style="13" customWidth="1"/>
    <col min="11" max="16380" width="8.89166666666667" style="13"/>
    <col min="16381" max="16384" width="8.89166666666667" style="14"/>
  </cols>
  <sheetData>
    <row r="1" s="13" customFormat="1" ht="20.25" spans="1:6">
      <c r="A1" s="15" t="s">
        <v>127</v>
      </c>
      <c r="B1" s="15"/>
      <c r="C1" s="15"/>
      <c r="D1" s="16"/>
      <c r="E1" s="16"/>
      <c r="F1" s="16"/>
    </row>
    <row r="2" s="13" customFormat="1" spans="1:6">
      <c r="A2" s="17"/>
      <c r="B2" s="17"/>
      <c r="C2" s="17"/>
      <c r="D2" s="16"/>
      <c r="E2" s="16"/>
      <c r="F2" s="16"/>
    </row>
    <row r="3" s="13" customFormat="1" ht="14.25" spans="1:6">
      <c r="A3" s="18" t="s">
        <v>128</v>
      </c>
      <c r="B3" s="18" t="s">
        <v>60</v>
      </c>
      <c r="C3" s="18" t="s">
        <v>129</v>
      </c>
      <c r="D3" s="19" t="s">
        <v>130</v>
      </c>
      <c r="E3" s="19"/>
      <c r="F3" s="19" t="s">
        <v>5</v>
      </c>
    </row>
    <row r="4" s="13" customFormat="1" ht="14.25" spans="1:6">
      <c r="A4" s="18" t="s">
        <v>131</v>
      </c>
      <c r="B4" s="18">
        <v>1</v>
      </c>
      <c r="C4" s="18"/>
      <c r="D4" s="19">
        <f>C4*12*B4</f>
        <v>0</v>
      </c>
      <c r="E4" s="19"/>
      <c r="F4" s="31" t="s">
        <v>132</v>
      </c>
    </row>
    <row r="5" s="13" customFormat="1" ht="14.25" spans="1:6">
      <c r="A5" s="18" t="s">
        <v>133</v>
      </c>
      <c r="B5" s="18">
        <v>1</v>
      </c>
      <c r="C5" s="18"/>
      <c r="D5" s="19">
        <f>C5*12*B5</f>
        <v>0</v>
      </c>
      <c r="E5" s="19"/>
      <c r="F5" s="31" t="s">
        <v>134</v>
      </c>
    </row>
    <row r="6" s="13" customFormat="1" ht="14.25" spans="1:6">
      <c r="A6" s="18" t="s">
        <v>135</v>
      </c>
      <c r="B6" s="18">
        <v>1</v>
      </c>
      <c r="C6" s="18"/>
      <c r="D6" s="20">
        <v>0</v>
      </c>
      <c r="E6" s="19"/>
      <c r="F6" s="19"/>
    </row>
    <row r="7" s="13" customFormat="1" ht="14.25" spans="1:11">
      <c r="A7" s="18" t="s">
        <v>136</v>
      </c>
      <c r="B7" s="18">
        <v>1</v>
      </c>
      <c r="C7" s="18"/>
      <c r="D7" s="18">
        <v>0</v>
      </c>
      <c r="E7" s="19"/>
      <c r="F7" s="31" t="s">
        <v>137</v>
      </c>
      <c r="K7" s="32"/>
    </row>
    <row r="8" s="13" customFormat="1" ht="14.25" spans="1:6">
      <c r="A8" s="18" t="s">
        <v>13</v>
      </c>
      <c r="B8" s="18"/>
      <c r="C8" s="18"/>
      <c r="D8" s="18">
        <f>SUM(D4:D7)</f>
        <v>0</v>
      </c>
      <c r="E8" s="16"/>
      <c r="F8" s="16"/>
    </row>
    <row r="9" s="13" customFormat="1" spans="1:6">
      <c r="A9" s="21"/>
      <c r="B9" s="21"/>
      <c r="C9" s="21"/>
      <c r="D9" s="16"/>
      <c r="E9" s="16"/>
      <c r="F9" s="16"/>
    </row>
    <row r="10" s="13" customFormat="1" ht="14.25" spans="1:10">
      <c r="A10" s="22" t="s">
        <v>138</v>
      </c>
      <c r="B10" s="18" t="s">
        <v>17</v>
      </c>
      <c r="C10" s="18" t="s">
        <v>18</v>
      </c>
      <c r="D10" s="18" t="s">
        <v>19</v>
      </c>
      <c r="E10" s="18" t="s">
        <v>20</v>
      </c>
      <c r="F10" s="18" t="s">
        <v>74</v>
      </c>
      <c r="G10" s="18" t="s">
        <v>22</v>
      </c>
      <c r="H10" s="18" t="s">
        <v>75</v>
      </c>
      <c r="I10" s="18" t="s">
        <v>25</v>
      </c>
      <c r="J10" s="19" t="s">
        <v>139</v>
      </c>
    </row>
    <row r="11" s="13" customFormat="1" ht="14.25" spans="1:10">
      <c r="A11" s="18" t="s">
        <v>140</v>
      </c>
      <c r="B11" s="18" t="s">
        <v>141</v>
      </c>
      <c r="C11" s="18">
        <v>0</v>
      </c>
      <c r="D11" s="18">
        <v>0</v>
      </c>
      <c r="E11" s="18">
        <v>0</v>
      </c>
      <c r="F11" s="20">
        <v>0</v>
      </c>
      <c r="G11" s="18">
        <f>E20</f>
        <v>0</v>
      </c>
      <c r="H11" s="18">
        <f>D4+D5</f>
        <v>0</v>
      </c>
      <c r="I11" s="18">
        <v>0</v>
      </c>
      <c r="J11" s="19">
        <v>0</v>
      </c>
    </row>
    <row r="12" s="13" customFormat="1" ht="14.25" spans="1:10">
      <c r="A12" s="18" t="s">
        <v>34</v>
      </c>
      <c r="B12" s="18"/>
      <c r="C12" s="18">
        <f t="shared" ref="C12:J12" si="0">C11</f>
        <v>0</v>
      </c>
      <c r="D12" s="18">
        <f t="shared" si="0"/>
        <v>0</v>
      </c>
      <c r="E12" s="18">
        <f t="shared" si="0"/>
        <v>0</v>
      </c>
      <c r="F12" s="20">
        <f t="shared" si="0"/>
        <v>0</v>
      </c>
      <c r="G12" s="18">
        <f t="shared" si="0"/>
        <v>0</v>
      </c>
      <c r="H12" s="18">
        <f t="shared" si="0"/>
        <v>0</v>
      </c>
      <c r="I12" s="18">
        <v>0</v>
      </c>
      <c r="J12" s="18">
        <f t="shared" si="0"/>
        <v>0</v>
      </c>
    </row>
    <row r="13" s="13" customFormat="1" spans="1:10">
      <c r="A13" s="23" t="s">
        <v>13</v>
      </c>
      <c r="B13" s="24">
        <f>C12+D12+E12+F12+G12+H12+I12+J12</f>
        <v>0</v>
      </c>
      <c r="C13" s="25"/>
      <c r="D13" s="25"/>
      <c r="E13" s="25"/>
      <c r="F13" s="25"/>
      <c r="G13" s="25"/>
      <c r="H13" s="25"/>
      <c r="I13" s="25"/>
      <c r="J13" s="33"/>
    </row>
    <row r="14" s="13" customFormat="1" spans="1:10">
      <c r="A14" s="26"/>
      <c r="B14" s="27"/>
      <c r="C14" s="28"/>
      <c r="D14" s="28"/>
      <c r="E14" s="28"/>
      <c r="F14" s="28"/>
      <c r="G14" s="28"/>
      <c r="H14" s="28"/>
      <c r="I14" s="28"/>
      <c r="J14" s="34"/>
    </row>
    <row r="15" s="13" customFormat="1" spans="1:6">
      <c r="A15" s="21"/>
      <c r="B15" s="21"/>
      <c r="C15" s="21"/>
      <c r="D15" s="16"/>
      <c r="E15" s="16"/>
      <c r="F15" s="16"/>
    </row>
    <row r="16" s="13" customFormat="1" spans="1:8">
      <c r="A16" s="19"/>
      <c r="B16" s="19" t="s">
        <v>142</v>
      </c>
      <c r="C16" s="19" t="s">
        <v>143</v>
      </c>
      <c r="D16" s="19" t="s">
        <v>144</v>
      </c>
      <c r="E16" s="19" t="s">
        <v>145</v>
      </c>
      <c r="F16" s="19" t="s">
        <v>146</v>
      </c>
      <c r="G16" s="19" t="s">
        <v>147</v>
      </c>
      <c r="H16" s="19" t="s">
        <v>148</v>
      </c>
    </row>
    <row r="17" s="13" customFormat="1" spans="1:8">
      <c r="A17" s="19" t="s">
        <v>141</v>
      </c>
      <c r="B17" s="19">
        <v>0</v>
      </c>
      <c r="C17" s="19">
        <v>0</v>
      </c>
      <c r="D17" s="19">
        <v>60</v>
      </c>
      <c r="E17" s="19">
        <v>0.1</v>
      </c>
      <c r="F17" s="19">
        <f>ROUND(D17*E17,1)</f>
        <v>6</v>
      </c>
      <c r="G17" s="29">
        <f>ROUND(C17*F17,0)</f>
        <v>0</v>
      </c>
      <c r="H17" s="19">
        <v>0</v>
      </c>
    </row>
    <row r="18" s="13" customFormat="1" spans="1:8">
      <c r="A18" s="19"/>
      <c r="B18" s="19"/>
      <c r="C18" s="19"/>
      <c r="D18" s="19"/>
      <c r="E18" s="19"/>
      <c r="F18" s="19"/>
      <c r="G18" s="19"/>
      <c r="H18" s="19"/>
    </row>
    <row r="19" s="13" customFormat="1" spans="2:5">
      <c r="B19" s="19" t="s">
        <v>25</v>
      </c>
      <c r="C19" s="19" t="s">
        <v>92</v>
      </c>
      <c r="D19" s="19" t="s">
        <v>149</v>
      </c>
      <c r="E19" s="19" t="s">
        <v>150</v>
      </c>
    </row>
    <row r="20" s="13" customFormat="1" spans="2:5">
      <c r="B20" s="19">
        <f>ROUND(B17/10,0)</f>
        <v>0</v>
      </c>
      <c r="C20" s="19">
        <v>0</v>
      </c>
      <c r="D20" s="19">
        <v>0</v>
      </c>
      <c r="E20" s="19">
        <v>0</v>
      </c>
    </row>
    <row r="21" s="13" customFormat="1" spans="1:6">
      <c r="A21" s="21"/>
      <c r="B21" s="21"/>
      <c r="C21" s="21"/>
      <c r="D21" s="16"/>
      <c r="E21" s="16"/>
      <c r="F21" s="16"/>
    </row>
    <row r="22" s="13" customFormat="1" spans="1:6">
      <c r="A22" s="21"/>
      <c r="B22" s="19" t="s">
        <v>88</v>
      </c>
      <c r="C22" s="19" t="s">
        <v>151</v>
      </c>
      <c r="D22" s="19" t="s">
        <v>70</v>
      </c>
      <c r="E22" s="19" t="s">
        <v>152</v>
      </c>
      <c r="F22" s="16"/>
    </row>
    <row r="23" s="13" customFormat="1" spans="1:6">
      <c r="A23" s="21"/>
      <c r="B23" s="19">
        <v>2</v>
      </c>
      <c r="C23" s="19">
        <v>0</v>
      </c>
      <c r="D23" s="29">
        <v>5</v>
      </c>
      <c r="E23" s="19">
        <f>ROUND(B23*C23,0)</f>
        <v>0</v>
      </c>
      <c r="F23" s="16"/>
    </row>
    <row r="24" s="13" customFormat="1" spans="1:10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="13" customFormat="1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="13" customFormat="1" spans="1:6">
      <c r="A26" s="21"/>
      <c r="B26" s="21"/>
      <c r="C26" s="21"/>
      <c r="D26" s="16"/>
      <c r="E26" s="16"/>
      <c r="F26" s="16"/>
    </row>
    <row r="27" s="13" customFormat="1" spans="1:6">
      <c r="A27" s="21" t="s">
        <v>124</v>
      </c>
      <c r="B27" s="21"/>
      <c r="C27" s="21"/>
      <c r="D27" s="16"/>
      <c r="E27" s="16"/>
      <c r="F27" s="16"/>
    </row>
    <row r="28" s="13" customFormat="1" ht="14.25" spans="1:6">
      <c r="A28" s="30" t="s">
        <v>125</v>
      </c>
      <c r="B28" s="30"/>
      <c r="C28" s="30"/>
      <c r="D28" s="16"/>
      <c r="E28" s="16"/>
      <c r="F28" s="16"/>
    </row>
  </sheetData>
  <sheetProtection formatCells="0" insertHyperlinks="0" autoFilter="0"/>
  <mergeCells count="4">
    <mergeCell ref="A1:C1"/>
    <mergeCell ref="A27:C27"/>
    <mergeCell ref="A13:A14"/>
    <mergeCell ref="B13:J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33" sqref="G33"/>
    </sheetView>
  </sheetViews>
  <sheetFormatPr defaultColWidth="9" defaultRowHeight="13.5"/>
  <cols>
    <col min="1" max="1" width="15.1333333333333" customWidth="1"/>
    <col min="4" max="4" width="12.6333333333333"/>
    <col min="6" max="6" width="11.8833333333333" customWidth="1"/>
  </cols>
  <sheetData>
    <row r="1" ht="27" spans="1:11">
      <c r="A1" s="1" t="s">
        <v>153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154</v>
      </c>
      <c r="B2" s="3" t="s">
        <v>155</v>
      </c>
      <c r="C2" s="3" t="s">
        <v>156</v>
      </c>
      <c r="D2" s="3" t="s">
        <v>157</v>
      </c>
      <c r="E2" s="3" t="s">
        <v>158</v>
      </c>
      <c r="F2" s="3" t="s">
        <v>159</v>
      </c>
      <c r="G2" s="3"/>
      <c r="H2" s="3"/>
      <c r="I2" s="3"/>
      <c r="J2" s="3"/>
      <c r="K2" s="11"/>
    </row>
    <row r="3" ht="14.25" spans="1:11">
      <c r="A3" s="3">
        <v>2021</v>
      </c>
      <c r="B3" s="3">
        <v>42</v>
      </c>
      <c r="C3" s="3">
        <v>58</v>
      </c>
      <c r="D3" s="3">
        <v>87</v>
      </c>
      <c r="E3" s="3">
        <v>141</v>
      </c>
      <c r="F3" s="7">
        <f>ROUND(D3/(B3+C3+D3+E3),2)</f>
        <v>0.27</v>
      </c>
      <c r="G3" s="3"/>
      <c r="H3" s="3"/>
      <c r="I3" s="3"/>
      <c r="J3" s="3"/>
      <c r="K3" s="11"/>
    </row>
    <row r="4" ht="14.25" spans="1:11">
      <c r="A4" s="3">
        <v>2022</v>
      </c>
      <c r="B4" s="3">
        <v>32</v>
      </c>
      <c r="C4" s="3">
        <v>38</v>
      </c>
      <c r="D4" s="3">
        <v>122</v>
      </c>
      <c r="E4" s="3">
        <v>170</v>
      </c>
      <c r="F4" s="7">
        <f>ROUND(D4/(B4+C4+D4+E4),2)</f>
        <v>0.34</v>
      </c>
      <c r="G4" s="3"/>
      <c r="H4" s="3"/>
      <c r="I4" s="3"/>
      <c r="J4" s="3"/>
      <c r="K4" s="11"/>
    </row>
    <row r="5" ht="14.25" spans="1:11">
      <c r="A5" s="3">
        <v>2023</v>
      </c>
      <c r="B5" s="3">
        <v>56</v>
      </c>
      <c r="C5" s="3">
        <v>59</v>
      </c>
      <c r="D5" s="3">
        <v>136</v>
      </c>
      <c r="E5" s="3">
        <v>114</v>
      </c>
      <c r="F5" s="7">
        <f>ROUND(D5/(B5+C5+D5+E5),2)</f>
        <v>0.37</v>
      </c>
      <c r="G5" s="3"/>
      <c r="H5" s="3"/>
      <c r="I5" s="3"/>
      <c r="J5" s="3"/>
      <c r="K5" s="11"/>
    </row>
    <row r="6" ht="14.25" spans="1:11">
      <c r="A6" s="3"/>
      <c r="B6" s="3"/>
      <c r="C6" s="3"/>
      <c r="D6" s="3"/>
      <c r="E6" s="3"/>
      <c r="F6" s="3"/>
      <c r="G6" s="3"/>
      <c r="H6" s="3"/>
      <c r="I6" s="3"/>
      <c r="J6" s="3"/>
      <c r="K6" s="11"/>
    </row>
    <row r="7" ht="14.25" spans="1:11">
      <c r="A7" s="3"/>
      <c r="B7" s="3"/>
      <c r="C7" s="3"/>
      <c r="D7" s="3"/>
      <c r="E7" s="3"/>
      <c r="F7" s="3"/>
      <c r="G7" s="3"/>
      <c r="H7" s="3"/>
      <c r="I7" s="3"/>
      <c r="J7" s="3"/>
      <c r="K7" s="11"/>
    </row>
    <row r="8" ht="14.25" spans="1:11">
      <c r="A8" s="3" t="s">
        <v>160</v>
      </c>
      <c r="B8" s="3"/>
      <c r="C8" s="3"/>
      <c r="D8" s="4">
        <f>(F3+F4+F5)/3/3</f>
        <v>0.108888888888889</v>
      </c>
      <c r="E8" s="3"/>
      <c r="F8" s="3"/>
      <c r="G8" s="3"/>
      <c r="H8" s="3"/>
      <c r="I8" s="3"/>
      <c r="J8" s="3"/>
      <c r="K8" s="11"/>
    </row>
    <row r="9" ht="37" customHeight="1" spans="1:11">
      <c r="A9" s="5" t="s">
        <v>161</v>
      </c>
      <c r="B9" s="3"/>
      <c r="C9" s="3"/>
      <c r="D9" s="6">
        <f>ROUND((365-20)*(1-D8),0)</f>
        <v>307</v>
      </c>
      <c r="E9" s="8" t="s">
        <v>162</v>
      </c>
      <c r="F9" s="9"/>
      <c r="G9" s="9"/>
      <c r="H9" s="9"/>
      <c r="I9" s="9"/>
      <c r="J9" s="9"/>
      <c r="K9" s="12"/>
    </row>
  </sheetData>
  <sheetProtection formatCells="0" insertHyperlinks="0" autoFilter="0"/>
  <mergeCells count="2">
    <mergeCell ref="A1:K1"/>
    <mergeCell ref="E9:K9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>
  <commentList sheetStid="1">
    <commentChains s:ref="B20" rgbClr="FF0000">
      <unresolved>
        <commentChain chainId="2261a18a656131a577162f0bf9cd7561913cd097">
          <item id="938acabb29db66c469ee2ff7cfb822efc7b3dc85" isNormal="1">
            <s:text>
              <s:r>
                <s:t xml:space="preserve">赵恒仕:
车辆需要慢跑冲洗路面油耗高于正常行驶</s:t>
              </s:r>
            </s:text>
          </item>
        </commentChain>
      </unresolved>
      <resolved/>
    </commentChains>
    <commentChains s:ref="C20" rgbClr="FF0000">
      <unresolved>
        <commentChain chainId="db5e6c005c00d358f0d217dec8b5d00fe2ac74cc">
          <item id="ac5a693935c6d99964bdb417241f867e16a66b90" isNormal="1">
            <s:text>
              <s:r>
                <s:t xml:space="preserve">赵恒仕:
路线长5公里来回总长10公里每天跑7趟共70公里</s:t>
              </s:r>
            </s:text>
          </item>
        </commentChain>
      </unresolved>
      <resolved/>
    </commentChains>
    <commentChains s:ref="C22" rgbClr="FF0000">
      <unresolved>
        <commentChain chainId="5e9d3b512de2497678a5a0f097c1a05a9cb534b7">
          <item id="d738db4836fb79433eded06e0f3c95fbb59b4b84" isNormal="1">
            <s:text>
              <s:r>
                <s:t xml:space="preserve">赵恒仕:
地磅到叉霸路口</s:t>
              </s:r>
            </s:text>
          </item>
        </commentChain>
      </unresolved>
      <resolved/>
    </commentChains>
  </commentList>
</comments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  <woSheetProps sheetStid="1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4"/>
  <pixelatorList sheetStid="1"/>
  <pixelatorList sheetStid="7"/>
  <pixelatorList sheetStid="3"/>
  <pixelatorList sheetStid="5"/>
  <pixelatorList sheetStid="2"/>
  <pixelatorList sheetStid="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WWO_wpscloud_20250116195353-13c312bd48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洒水车费用</vt:lpstr>
      <vt:lpstr>扫地车费用</vt:lpstr>
      <vt:lpstr>清理地磅设备费用</vt:lpstr>
      <vt:lpstr>管理人员人工及辅助</vt:lpstr>
      <vt:lpstr>昌江雨天占比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2024-04-23T18:02:00Z</dcterms:created>
  <dcterms:modified xsi:type="dcterms:W3CDTF">2025-06-27T15:32:00Z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B1E609548F624B81A456715FF436C464</vt:lpwstr>
  </property>
  <property fmtid="{D5CDD505-2E9C-101B-9397-08002B2CF9AE}" pid="3" name="KSOProductBuildVer">
    <vt:lpwstr>2052-0.0.0.0</vt:lpwstr>
  </property>
</Properties>
</file>